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1"/>
  </bookViews>
  <sheets>
    <sheet name="Treatment detail" sheetId="1" r:id="rId1"/>
    <sheet name="SPD-Dr. CMP" sheetId="2" r:id="rId2"/>
  </sheets>
  <definedNames/>
  <calcPr fullCalcOnLoad="1"/>
</workbook>
</file>

<file path=xl/sharedStrings.xml><?xml version="1.0" encoding="utf-8"?>
<sst xmlns="http://schemas.openxmlformats.org/spreadsheetml/2006/main" count="211" uniqueCount="124">
  <si>
    <t>Treatment</t>
  </si>
  <si>
    <t>R1</t>
  </si>
  <si>
    <t>R2</t>
  </si>
  <si>
    <t>R3</t>
  </si>
  <si>
    <t>Total</t>
  </si>
  <si>
    <t>Mean</t>
  </si>
  <si>
    <t>L1FoMo</t>
  </si>
  <si>
    <t>L1FoM1</t>
  </si>
  <si>
    <t>L1FoM2</t>
  </si>
  <si>
    <t>L1F1M0</t>
  </si>
  <si>
    <t>L1F1M1</t>
  </si>
  <si>
    <t>L1F1M2</t>
  </si>
  <si>
    <t>L1F2Mo</t>
  </si>
  <si>
    <t>L1F2M1</t>
  </si>
  <si>
    <t>L1F2M2</t>
  </si>
  <si>
    <t>L1F3M0</t>
  </si>
  <si>
    <t>L1F3M1</t>
  </si>
  <si>
    <t>L1F3M2</t>
  </si>
  <si>
    <t>L1F4Mo</t>
  </si>
  <si>
    <t>L1F4M1</t>
  </si>
  <si>
    <t>L1F4M2</t>
  </si>
  <si>
    <t>L2FoMo</t>
  </si>
  <si>
    <t>L2FoM1</t>
  </si>
  <si>
    <t>L2FoM2</t>
  </si>
  <si>
    <t>L2F1Mo</t>
  </si>
  <si>
    <t>L2F1M1</t>
  </si>
  <si>
    <t>L2F1M2</t>
  </si>
  <si>
    <t>L2F2Mo</t>
  </si>
  <si>
    <t>L2F2M1</t>
  </si>
  <si>
    <t>L2F2M2</t>
  </si>
  <si>
    <t>L2F3Mo</t>
  </si>
  <si>
    <t>L2F3M1</t>
  </si>
  <si>
    <t>L2F3M2</t>
  </si>
  <si>
    <t>L2F4Mo</t>
  </si>
  <si>
    <t>L2F4M1</t>
  </si>
  <si>
    <t>L2F4M2</t>
  </si>
  <si>
    <t>L1F0</t>
  </si>
  <si>
    <t>L1F1</t>
  </si>
  <si>
    <t>L1F2</t>
  </si>
  <si>
    <t>L1F3</t>
  </si>
  <si>
    <t>L1F4</t>
  </si>
  <si>
    <t>L2F0</t>
  </si>
  <si>
    <t>L2F1</t>
  </si>
  <si>
    <t>L2F2</t>
  </si>
  <si>
    <t>L2F3</t>
  </si>
  <si>
    <t>L2F4</t>
  </si>
  <si>
    <t>Treat</t>
  </si>
  <si>
    <t>F0</t>
  </si>
  <si>
    <t>F1</t>
  </si>
  <si>
    <t>F2</t>
  </si>
  <si>
    <t>F3</t>
  </si>
  <si>
    <t>F4</t>
  </si>
  <si>
    <t>L1</t>
  </si>
  <si>
    <t>L2</t>
  </si>
  <si>
    <t>LxM</t>
  </si>
  <si>
    <t>M0</t>
  </si>
  <si>
    <t>M1</t>
  </si>
  <si>
    <t>M2</t>
  </si>
  <si>
    <t>FxM</t>
  </si>
  <si>
    <t>Error(a)</t>
  </si>
  <si>
    <t>Error(b)</t>
  </si>
  <si>
    <t>Fcal</t>
  </si>
  <si>
    <t>Ftab</t>
  </si>
  <si>
    <t>Rep</t>
  </si>
  <si>
    <t>L</t>
  </si>
  <si>
    <t>F</t>
  </si>
  <si>
    <t>LXF</t>
  </si>
  <si>
    <t>M</t>
  </si>
  <si>
    <t>LxFxM</t>
  </si>
  <si>
    <t>Treatments           A.   Main plot treatments</t>
  </si>
  <si>
    <t xml:space="preserve">                (a)  Land configuration for pearlmillet</t>
  </si>
  <si>
    <t xml:space="preserve">                      (i)     L1      :       Flat sowing</t>
  </si>
  <si>
    <t xml:space="preserve">                      (ii)    L2      :       Ridge &amp; furrow sowing</t>
  </si>
  <si>
    <t xml:space="preserve">                (b) Nutrient management in pearlmillet</t>
  </si>
  <si>
    <t xml:space="preserve">                      (i)     F0       :     Control</t>
  </si>
  <si>
    <t xml:space="preserve">                      (ii)    F1       :     30 kg N + 20 kg P2O5 ha-1                                    (iii)   F2       :     60 kg N + 40 kg P2O5 ha-1                                 (iv)   F3       :     30 kg N + 20 kg P2O5 ha-1 + 6 tonne FYM ha-1                       (v)    F4       :     FYM @ 6 tonne ha-1          B.   Sub-plot treatments (Nutrient application in mustard)</t>
  </si>
  <si>
    <t xml:space="preserve">                      (i)     M0       :     Control</t>
  </si>
  <si>
    <t xml:space="preserve">                      (ii)    M1       :     30 kg N + 20 kg P2O5 ha–1 </t>
  </si>
  <si>
    <t xml:space="preserve">                                    (iii)   M2       :     60 kg N + 40 kg P2O5 ha–1 </t>
  </si>
  <si>
    <t xml:space="preserve">          C.   Replications       :     03</t>
  </si>
  <si>
    <t xml:space="preserve">          D.   Total treatment :     30</t>
  </si>
  <si>
    <t xml:space="preserve">                combinations</t>
  </si>
  <si>
    <t xml:space="preserve">          E.   Plot size            :     </t>
  </si>
  <si>
    <t xml:space="preserve">                 Gross                :                4.0 m × 3.0 m</t>
  </si>
  <si>
    <t xml:space="preserve">                 Net                   :                3.0 m x 2.1 m</t>
  </si>
  <si>
    <t>ANOVA</t>
  </si>
  <si>
    <t>DF</t>
  </si>
  <si>
    <t>SS</t>
  </si>
  <si>
    <t>MSS</t>
  </si>
  <si>
    <t>SEm</t>
  </si>
  <si>
    <t>CD</t>
  </si>
  <si>
    <t>S/NS</t>
  </si>
  <si>
    <t>CV</t>
  </si>
  <si>
    <t>SOV</t>
  </si>
  <si>
    <t>Table : Main X Repl</t>
  </si>
  <si>
    <t>Main x Repl SS</t>
  </si>
  <si>
    <t>CF</t>
  </si>
  <si>
    <t>TSS</t>
  </si>
  <si>
    <t>Table :</t>
  </si>
  <si>
    <t>L x F</t>
  </si>
  <si>
    <t>File : Pearl millet</t>
  </si>
  <si>
    <t>L x F ss</t>
  </si>
  <si>
    <t>Table : Main X Sub</t>
  </si>
  <si>
    <t>Table : L X M</t>
  </si>
  <si>
    <t>Table : F X M</t>
  </si>
  <si>
    <t>L x M ss</t>
  </si>
  <si>
    <t>F x M ss</t>
  </si>
  <si>
    <t>Rss</t>
  </si>
  <si>
    <t>Lss</t>
  </si>
  <si>
    <t>Fss</t>
  </si>
  <si>
    <t>LxFss</t>
  </si>
  <si>
    <t>Error (a)</t>
  </si>
  <si>
    <t>Mss</t>
  </si>
  <si>
    <t>LxMss</t>
  </si>
  <si>
    <t>FxMss</t>
  </si>
  <si>
    <t>LxFxMss</t>
  </si>
  <si>
    <t>Error (b)</t>
  </si>
  <si>
    <t>R</t>
  </si>
  <si>
    <t>Ttab</t>
  </si>
  <si>
    <t>GM</t>
  </si>
  <si>
    <t>SQRT2</t>
  </si>
  <si>
    <r>
      <t>SEm</t>
    </r>
    <r>
      <rPr>
        <b/>
        <sz val="10"/>
        <rFont val="Arial"/>
        <family val="0"/>
      </rPr>
      <t>±</t>
    </r>
  </si>
  <si>
    <t>CD (P=0.05)</t>
  </si>
  <si>
    <t xml:space="preserve">Table : Effect of treatments on pearl millet equivalent yield II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</si>
</sst>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dd/mm/yyyy"/>
    <numFmt numFmtId="171" formatCode="0.0000"/>
    <numFmt numFmtId="172" formatCode="0.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"/>
    <numFmt numFmtId="181" formatCode="0.000000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20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20" fillId="0" borderId="0" xfId="57" applyFont="1">
      <alignment/>
      <protection/>
    </xf>
    <xf numFmtId="2" fontId="1" fillId="0" borderId="0" xfId="58" applyNumberFormat="1">
      <alignment/>
      <protection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0" fillId="0" borderId="0" xfId="57" applyFont="1" applyAlignment="1">
      <alignment horizontal="left"/>
      <protection/>
    </xf>
    <xf numFmtId="180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20" fillId="0" borderId="0" xfId="57" applyFont="1" applyAlignment="1">
      <alignment horizontal="right"/>
      <protection/>
    </xf>
    <xf numFmtId="2" fontId="0" fillId="0" borderId="0" xfId="0" applyNumberFormat="1" applyAlignment="1">
      <alignment horizontal="right"/>
    </xf>
    <xf numFmtId="0" fontId="0" fillId="0" borderId="0" xfId="57" applyAlignment="1">
      <alignment horizontal="left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72" fontId="2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s="6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">
      <selection activeCell="T30" sqref="T30"/>
    </sheetView>
  </sheetViews>
  <sheetFormatPr defaultColWidth="9.140625" defaultRowHeight="12.75"/>
  <cols>
    <col min="4" max="4" width="8.8515625" style="0" customWidth="1"/>
    <col min="14" max="14" width="9.28125" style="0" bestFit="1" customWidth="1"/>
  </cols>
  <sheetData>
    <row r="1" spans="1:9" ht="12.75">
      <c r="A1" s="7" t="s">
        <v>100</v>
      </c>
      <c r="B1" s="7"/>
      <c r="C1" s="7"/>
      <c r="D1" s="7"/>
      <c r="E1" s="7"/>
      <c r="F1" s="7"/>
      <c r="I1" s="7" t="s">
        <v>94</v>
      </c>
    </row>
    <row r="2" spans="1:13" ht="12.75">
      <c r="A2" s="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H2" s="11" t="s">
        <v>46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</row>
    <row r="3" spans="1:15" ht="15">
      <c r="A3" s="1" t="s">
        <v>6</v>
      </c>
      <c r="B3" s="5">
        <v>36.04066666666667</v>
      </c>
      <c r="C3" s="5">
        <v>42.513333333333335</v>
      </c>
      <c r="D3" s="5">
        <v>46.88066666666667</v>
      </c>
      <c r="E3" s="9">
        <f aca="true" t="shared" si="0" ref="E3:E32">SUM(B3:D3)</f>
        <v>125.43466666666667</v>
      </c>
      <c r="F3" s="8">
        <f aca="true" t="shared" si="1" ref="F3:F32">AVERAGE(B3:D3)</f>
        <v>41.81155555555556</v>
      </c>
      <c r="H3" s="11" t="s">
        <v>36</v>
      </c>
      <c r="I3" s="8">
        <f>SUM(B3:B5)</f>
        <v>144.64333333333332</v>
      </c>
      <c r="J3" s="8">
        <f>SUM(C3:C5)</f>
        <v>148.21800000000002</v>
      </c>
      <c r="K3" s="8">
        <f>SUM(D3:D5)</f>
        <v>145.67266666666666</v>
      </c>
      <c r="L3" s="9">
        <f aca="true" t="shared" si="2" ref="L3:L13">SUM(I3:K3)</f>
        <v>438.534</v>
      </c>
      <c r="M3" s="9">
        <f aca="true" t="shared" si="3" ref="M3:M12">L3/9</f>
        <v>48.726</v>
      </c>
      <c r="O3" s="8"/>
    </row>
    <row r="4" spans="1:13" ht="15">
      <c r="A4" s="1" t="s">
        <v>7</v>
      </c>
      <c r="B4" s="5">
        <v>49.532</v>
      </c>
      <c r="C4" s="5">
        <v>48.88333333333333</v>
      </c>
      <c r="D4" s="5">
        <v>53.512</v>
      </c>
      <c r="E4" s="9">
        <f t="shared" si="0"/>
        <v>151.92733333333334</v>
      </c>
      <c r="F4" s="8">
        <f t="shared" si="1"/>
        <v>50.64244444444444</v>
      </c>
      <c r="H4" s="11" t="s">
        <v>37</v>
      </c>
      <c r="I4" s="8">
        <f>SUM(B6:B8)</f>
        <v>170.952</v>
      </c>
      <c r="J4" s="8">
        <f>SUM(C6:C8)</f>
        <v>172.32</v>
      </c>
      <c r="K4" s="8">
        <f>SUM(D6:D8)</f>
        <v>168.21933333333334</v>
      </c>
      <c r="L4" s="9">
        <f t="shared" si="2"/>
        <v>511.49133333333333</v>
      </c>
      <c r="M4" s="9">
        <f t="shared" si="3"/>
        <v>56.83237037037037</v>
      </c>
    </row>
    <row r="5" spans="1:13" ht="15">
      <c r="A5" s="1" t="s">
        <v>8</v>
      </c>
      <c r="B5" s="5">
        <v>59.07066666666666</v>
      </c>
      <c r="C5" s="5">
        <v>56.82133333333334</v>
      </c>
      <c r="D5" s="5">
        <v>45.28</v>
      </c>
      <c r="E5" s="9">
        <f t="shared" si="0"/>
        <v>161.172</v>
      </c>
      <c r="F5" s="8">
        <f t="shared" si="1"/>
        <v>53.724</v>
      </c>
      <c r="H5" s="11" t="s">
        <v>38</v>
      </c>
      <c r="I5" s="8">
        <f>SUM(B9:B11)</f>
        <v>193.08666666666664</v>
      </c>
      <c r="J5" s="8">
        <f>SUM(C9:C11)</f>
        <v>195.40800000000002</v>
      </c>
      <c r="K5" s="8">
        <f>SUM(D9:D11)</f>
        <v>189.574</v>
      </c>
      <c r="L5" s="9">
        <f t="shared" si="2"/>
        <v>578.0686666666667</v>
      </c>
      <c r="M5" s="9">
        <f t="shared" si="3"/>
        <v>64.22985185185185</v>
      </c>
    </row>
    <row r="6" spans="1:13" ht="15">
      <c r="A6" s="1" t="s">
        <v>9</v>
      </c>
      <c r="B6" s="5">
        <v>44.47266666666667</v>
      </c>
      <c r="C6" s="5">
        <v>54.17333333333333</v>
      </c>
      <c r="D6" s="5">
        <v>48.766666666666666</v>
      </c>
      <c r="E6" s="9">
        <f t="shared" si="0"/>
        <v>147.41266666666667</v>
      </c>
      <c r="F6" s="8">
        <f t="shared" si="1"/>
        <v>49.13755555555556</v>
      </c>
      <c r="H6" s="11" t="s">
        <v>39</v>
      </c>
      <c r="I6" s="8">
        <f>SUM(B12:B14)</f>
        <v>189.954</v>
      </c>
      <c r="J6" s="8">
        <f>SUM(C12:C14)</f>
        <v>210.72133333333332</v>
      </c>
      <c r="K6" s="8">
        <f>SUM(D12:D14)</f>
        <v>209.00333333333333</v>
      </c>
      <c r="L6" s="9">
        <f t="shared" si="2"/>
        <v>609.6786666666667</v>
      </c>
      <c r="M6" s="9">
        <f t="shared" si="3"/>
        <v>67.74207407407408</v>
      </c>
    </row>
    <row r="7" spans="1:13" ht="15">
      <c r="A7" s="1" t="s">
        <v>10</v>
      </c>
      <c r="B7" s="5">
        <v>63.321333333333335</v>
      </c>
      <c r="C7" s="5">
        <v>58.224000000000004</v>
      </c>
      <c r="D7" s="5">
        <v>53.96066666666667</v>
      </c>
      <c r="E7" s="9">
        <f t="shared" si="0"/>
        <v>175.506</v>
      </c>
      <c r="F7" s="8">
        <f t="shared" si="1"/>
        <v>58.502</v>
      </c>
      <c r="H7" s="11" t="s">
        <v>40</v>
      </c>
      <c r="I7" s="8">
        <f>SUM(B15:B17)</f>
        <v>182.78199999999998</v>
      </c>
      <c r="J7" s="8">
        <f>SUM(C15:C17)</f>
        <v>174.23399999999998</v>
      </c>
      <c r="K7" s="8">
        <f>SUM(D15:D17)</f>
        <v>162.93466666666666</v>
      </c>
      <c r="L7" s="9">
        <f t="shared" si="2"/>
        <v>519.9506666666666</v>
      </c>
      <c r="M7" s="9">
        <f t="shared" si="3"/>
        <v>57.77229629629629</v>
      </c>
    </row>
    <row r="8" spans="1:13" ht="15">
      <c r="A8" s="1" t="s">
        <v>11</v>
      </c>
      <c r="B8" s="5">
        <v>63.158</v>
      </c>
      <c r="C8" s="5">
        <v>59.92266666666667</v>
      </c>
      <c r="D8" s="5">
        <v>65.492</v>
      </c>
      <c r="E8" s="9">
        <f t="shared" si="0"/>
        <v>188.5726666666667</v>
      </c>
      <c r="F8" s="8">
        <f t="shared" si="1"/>
        <v>62.857555555555564</v>
      </c>
      <c r="H8" s="11" t="s">
        <v>41</v>
      </c>
      <c r="I8" s="8">
        <f>SUM(B18:B20)</f>
        <v>154.136</v>
      </c>
      <c r="J8" s="8">
        <f>SUM(C18:C20)</f>
        <v>172.812</v>
      </c>
      <c r="K8" s="8">
        <f>SUM(D18:D20)</f>
        <v>161.0126666666667</v>
      </c>
      <c r="L8" s="9">
        <f t="shared" si="2"/>
        <v>487.96066666666667</v>
      </c>
      <c r="M8" s="9">
        <f t="shared" si="3"/>
        <v>54.217851851851854</v>
      </c>
    </row>
    <row r="9" spans="1:13" ht="15">
      <c r="A9" s="1" t="s">
        <v>12</v>
      </c>
      <c r="B9" s="5">
        <v>65.29866666666666</v>
      </c>
      <c r="C9" s="5">
        <v>54.09466666666667</v>
      </c>
      <c r="D9" s="5">
        <v>56.461999999999996</v>
      </c>
      <c r="E9" s="9">
        <f t="shared" si="0"/>
        <v>175.85533333333333</v>
      </c>
      <c r="F9" s="8">
        <f t="shared" si="1"/>
        <v>58.61844444444444</v>
      </c>
      <c r="H9" s="11" t="s">
        <v>42</v>
      </c>
      <c r="I9" s="8">
        <f>SUM(B21:B23)</f>
        <v>187.16266666666667</v>
      </c>
      <c r="J9" s="8">
        <f>SUM(C21:C23)</f>
        <v>189.74466666666666</v>
      </c>
      <c r="K9" s="8">
        <f>SUM(D21:D23)</f>
        <v>185.04200000000003</v>
      </c>
      <c r="L9" s="9">
        <f t="shared" si="2"/>
        <v>561.9493333333334</v>
      </c>
      <c r="M9" s="9">
        <f t="shared" si="3"/>
        <v>62.43881481481482</v>
      </c>
    </row>
    <row r="10" spans="1:13" ht="15">
      <c r="A10" s="1" t="s">
        <v>13</v>
      </c>
      <c r="B10" s="5">
        <v>61.70533333333333</v>
      </c>
      <c r="C10" s="5">
        <v>69.70933333333333</v>
      </c>
      <c r="D10" s="5">
        <v>64.85733333333333</v>
      </c>
      <c r="E10" s="9">
        <f t="shared" si="0"/>
        <v>196.272</v>
      </c>
      <c r="F10" s="8">
        <f t="shared" si="1"/>
        <v>65.42399999999999</v>
      </c>
      <c r="H10" s="11" t="s">
        <v>43</v>
      </c>
      <c r="I10" s="8">
        <f>SUM(B24:B26)</f>
        <v>230.402</v>
      </c>
      <c r="J10" s="8">
        <f>SUM(C24:C26)</f>
        <v>216.56933333333333</v>
      </c>
      <c r="K10" s="8">
        <f>SUM(D24:D26)</f>
        <v>206.96066666666667</v>
      </c>
      <c r="L10" s="9">
        <f t="shared" si="2"/>
        <v>653.932</v>
      </c>
      <c r="M10" s="9">
        <f t="shared" si="3"/>
        <v>72.65911111111112</v>
      </c>
    </row>
    <row r="11" spans="1:16" ht="15">
      <c r="A11" s="1" t="s">
        <v>14</v>
      </c>
      <c r="B11" s="5">
        <v>66.08266666666667</v>
      </c>
      <c r="C11" s="5">
        <v>71.60400000000001</v>
      </c>
      <c r="D11" s="5">
        <v>68.25466666666667</v>
      </c>
      <c r="E11" s="9">
        <f t="shared" si="0"/>
        <v>205.94133333333332</v>
      </c>
      <c r="F11" s="8">
        <f t="shared" si="1"/>
        <v>68.6471111111111</v>
      </c>
      <c r="H11" s="11" t="s">
        <v>44</v>
      </c>
      <c r="I11" s="8">
        <f>SUM(B27:B29)</f>
        <v>227.91533333333336</v>
      </c>
      <c r="J11" s="8">
        <f>SUM(C27:C29)</f>
        <v>216.93800000000002</v>
      </c>
      <c r="K11" s="8">
        <f>SUM(D27:D29)</f>
        <v>218.25599999999997</v>
      </c>
      <c r="L11" s="9">
        <f t="shared" si="2"/>
        <v>663.1093333333333</v>
      </c>
      <c r="M11" s="9">
        <f t="shared" si="3"/>
        <v>73.67881481481481</v>
      </c>
      <c r="P11" s="7"/>
    </row>
    <row r="12" spans="1:13" ht="15">
      <c r="A12" s="1" t="s">
        <v>15</v>
      </c>
      <c r="B12" s="5">
        <v>60.018666666666675</v>
      </c>
      <c r="C12" s="5">
        <v>66.00466666666667</v>
      </c>
      <c r="D12" s="5">
        <v>59.12733333333333</v>
      </c>
      <c r="E12" s="9">
        <f t="shared" si="0"/>
        <v>185.15066666666667</v>
      </c>
      <c r="F12" s="8">
        <f t="shared" si="1"/>
        <v>61.71688888888889</v>
      </c>
      <c r="H12" s="11" t="s">
        <v>45</v>
      </c>
      <c r="I12" s="8">
        <f>SUM(B30:B32)</f>
        <v>188.92666666666665</v>
      </c>
      <c r="J12" s="8">
        <f>SUM(C30:C32)</f>
        <v>191.56199999999998</v>
      </c>
      <c r="K12" s="8">
        <f>SUM(D30:D32)</f>
        <v>186.562</v>
      </c>
      <c r="L12" s="9">
        <f t="shared" si="2"/>
        <v>567.0506666666666</v>
      </c>
      <c r="M12" s="9">
        <f t="shared" si="3"/>
        <v>63.005629629629624</v>
      </c>
    </row>
    <row r="13" spans="1:12" ht="15">
      <c r="A13" s="1" t="s">
        <v>16</v>
      </c>
      <c r="B13" s="5">
        <v>65.63733333333333</v>
      </c>
      <c r="C13" s="5">
        <v>68.25866666666667</v>
      </c>
      <c r="D13" s="5">
        <v>72.74933333333334</v>
      </c>
      <c r="E13" s="9">
        <f t="shared" si="0"/>
        <v>206.64533333333335</v>
      </c>
      <c r="F13" s="8">
        <f t="shared" si="1"/>
        <v>68.88177777777778</v>
      </c>
      <c r="H13" s="11" t="s">
        <v>4</v>
      </c>
      <c r="I13" s="9">
        <f>SUM(I3:I12)</f>
        <v>1869.9606666666666</v>
      </c>
      <c r="J13" s="9">
        <f>SUM(J3:J12)</f>
        <v>1888.5273333333332</v>
      </c>
      <c r="K13" s="9">
        <f>SUM(K3:K12)</f>
        <v>1833.2373333333335</v>
      </c>
      <c r="L13" s="9">
        <f t="shared" si="2"/>
        <v>5591.725333333334</v>
      </c>
    </row>
    <row r="14" spans="1:13" ht="15">
      <c r="A14" s="1" t="s">
        <v>17</v>
      </c>
      <c r="B14" s="5">
        <v>64.298</v>
      </c>
      <c r="C14" s="5">
        <v>76.458</v>
      </c>
      <c r="D14" s="5">
        <v>77.12666666666667</v>
      </c>
      <c r="E14" s="9">
        <f t="shared" si="0"/>
        <v>217.88266666666667</v>
      </c>
      <c r="F14" s="8">
        <f t="shared" si="1"/>
        <v>72.62755555555556</v>
      </c>
      <c r="K14" s="11" t="s">
        <v>95</v>
      </c>
      <c r="M14" s="12">
        <f>SUMSQ(I3:K12)/3-B36</f>
        <v>5482.377117610013</v>
      </c>
    </row>
    <row r="15" spans="1:13" ht="15">
      <c r="A15" s="1" t="s">
        <v>18</v>
      </c>
      <c r="B15" s="5">
        <v>52.36866666666667</v>
      </c>
      <c r="C15" s="5">
        <v>52.52466666666667</v>
      </c>
      <c r="D15" s="5">
        <v>49.498666666666665</v>
      </c>
      <c r="E15" s="9">
        <f t="shared" si="0"/>
        <v>154.392</v>
      </c>
      <c r="F15" s="8">
        <f t="shared" si="1"/>
        <v>51.464</v>
      </c>
      <c r="H15" s="1"/>
      <c r="I15" s="2" t="s">
        <v>98</v>
      </c>
      <c r="J15" s="2" t="s">
        <v>99</v>
      </c>
      <c r="K15" s="1"/>
      <c r="L15" s="1"/>
      <c r="M15" s="1"/>
    </row>
    <row r="16" spans="1:15" ht="15">
      <c r="A16" s="1" t="s">
        <v>19</v>
      </c>
      <c r="B16" s="5">
        <v>70.23733333333332</v>
      </c>
      <c r="C16" s="5">
        <v>60.822</v>
      </c>
      <c r="D16" s="5">
        <v>55.50933333333333</v>
      </c>
      <c r="E16" s="9">
        <f t="shared" si="0"/>
        <v>186.56866666666664</v>
      </c>
      <c r="F16" s="8">
        <f t="shared" si="1"/>
        <v>62.18955555555555</v>
      </c>
      <c r="H16" s="11" t="s">
        <v>46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51</v>
      </c>
      <c r="N16" s="11" t="s">
        <v>4</v>
      </c>
      <c r="O16" s="15" t="s">
        <v>5</v>
      </c>
    </row>
    <row r="17" spans="1:15" ht="15">
      <c r="A17" s="1" t="s">
        <v>20</v>
      </c>
      <c r="B17" s="5">
        <v>60.176</v>
      </c>
      <c r="C17" s="5">
        <v>60.88733333333333</v>
      </c>
      <c r="D17" s="5">
        <v>57.92666666666666</v>
      </c>
      <c r="E17" s="9">
        <f t="shared" si="0"/>
        <v>178.99</v>
      </c>
      <c r="F17" s="8">
        <f t="shared" si="1"/>
        <v>59.663333333333334</v>
      </c>
      <c r="H17" s="11" t="s">
        <v>52</v>
      </c>
      <c r="I17" s="3">
        <f>L3</f>
        <v>438.534</v>
      </c>
      <c r="J17" s="3">
        <f>L4</f>
        <v>511.49133333333333</v>
      </c>
      <c r="K17" s="3">
        <f>L5</f>
        <v>578.0686666666667</v>
      </c>
      <c r="L17" s="3">
        <f>L6</f>
        <v>609.6786666666667</v>
      </c>
      <c r="M17" s="3">
        <f>L7</f>
        <v>519.9506666666666</v>
      </c>
      <c r="N17" s="9">
        <f>SUM(I17:M17)</f>
        <v>2657.7233333333334</v>
      </c>
      <c r="O17" s="9">
        <f>N17/45</f>
        <v>59.06051851851852</v>
      </c>
    </row>
    <row r="18" spans="1:15" ht="15">
      <c r="A18" s="1" t="s">
        <v>21</v>
      </c>
      <c r="B18" s="5">
        <v>45.23733333333333</v>
      </c>
      <c r="C18" s="5">
        <v>48</v>
      </c>
      <c r="D18" s="5">
        <v>51.07933333333334</v>
      </c>
      <c r="E18" s="9">
        <f t="shared" si="0"/>
        <v>144.31666666666666</v>
      </c>
      <c r="F18" s="8">
        <f t="shared" si="1"/>
        <v>48.105555555555554</v>
      </c>
      <c r="H18" s="11" t="s">
        <v>53</v>
      </c>
      <c r="I18" s="3">
        <f>L8</f>
        <v>487.96066666666667</v>
      </c>
      <c r="J18" s="3">
        <f>L9</f>
        <v>561.9493333333334</v>
      </c>
      <c r="K18" s="3">
        <f>L10</f>
        <v>653.932</v>
      </c>
      <c r="L18" s="3">
        <f>L11</f>
        <v>663.1093333333333</v>
      </c>
      <c r="M18" s="3">
        <f>L12</f>
        <v>567.0506666666666</v>
      </c>
      <c r="N18" s="9">
        <f>SUM(I18:M18)</f>
        <v>2934.002</v>
      </c>
      <c r="O18" s="9">
        <f>N18/45</f>
        <v>65.20004444444444</v>
      </c>
    </row>
    <row r="19" spans="1:14" ht="15">
      <c r="A19" s="1" t="s">
        <v>22</v>
      </c>
      <c r="B19" s="5">
        <v>61.17866666666666</v>
      </c>
      <c r="C19" s="5">
        <v>61.78533333333333</v>
      </c>
      <c r="D19" s="5">
        <v>49.08666666666667</v>
      </c>
      <c r="E19" s="9">
        <f t="shared" si="0"/>
        <v>172.05066666666664</v>
      </c>
      <c r="F19" s="8">
        <f t="shared" si="1"/>
        <v>57.350222222222214</v>
      </c>
      <c r="H19" s="11" t="s">
        <v>4</v>
      </c>
      <c r="I19" s="9">
        <f aca="true" t="shared" si="4" ref="I19:N19">SUM(I17:I18)</f>
        <v>926.4946666666667</v>
      </c>
      <c r="J19" s="9">
        <f t="shared" si="4"/>
        <v>1073.4406666666666</v>
      </c>
      <c r="K19" s="9">
        <f t="shared" si="4"/>
        <v>1232.0006666666668</v>
      </c>
      <c r="L19" s="9">
        <f t="shared" si="4"/>
        <v>1272.788</v>
      </c>
      <c r="M19" s="9">
        <f t="shared" si="4"/>
        <v>1087.0013333333332</v>
      </c>
      <c r="N19" s="9">
        <f t="shared" si="4"/>
        <v>5591.725333333334</v>
      </c>
    </row>
    <row r="20" spans="1:13" ht="15">
      <c r="A20" s="1" t="s">
        <v>23</v>
      </c>
      <c r="B20" s="5">
        <v>47.72</v>
      </c>
      <c r="C20" s="5">
        <v>63.02666666666667</v>
      </c>
      <c r="D20" s="5">
        <v>60.84666666666667</v>
      </c>
      <c r="E20" s="9">
        <f t="shared" si="0"/>
        <v>171.59333333333333</v>
      </c>
      <c r="F20" s="8">
        <f t="shared" si="1"/>
        <v>57.19777777777778</v>
      </c>
      <c r="H20" s="11" t="s">
        <v>5</v>
      </c>
      <c r="I20" s="9">
        <f>I19/18</f>
        <v>51.47192592592593</v>
      </c>
      <c r="J20" s="9">
        <f>J19/18</f>
        <v>59.63559259259259</v>
      </c>
      <c r="K20" s="9">
        <f>K19/18</f>
        <v>68.44448148148149</v>
      </c>
      <c r="L20" s="9">
        <f>L19/18</f>
        <v>70.71044444444445</v>
      </c>
      <c r="M20" s="9">
        <f>M19/18</f>
        <v>60.38896296296295</v>
      </c>
    </row>
    <row r="21" spans="1:14" ht="15">
      <c r="A21" s="1" t="s">
        <v>24</v>
      </c>
      <c r="B21" s="5">
        <v>57.50933333333333</v>
      </c>
      <c r="C21" s="5">
        <v>54.80933333333333</v>
      </c>
      <c r="D21" s="5">
        <v>53.971333333333334</v>
      </c>
      <c r="E21" s="9">
        <f t="shared" si="0"/>
        <v>166.29</v>
      </c>
      <c r="F21" s="8">
        <f t="shared" si="1"/>
        <v>55.43</v>
      </c>
      <c r="M21" s="11" t="s">
        <v>101</v>
      </c>
      <c r="N21" s="9">
        <f>SUMSQ(I17:M18)/9-B36</f>
        <v>5132.951246301469</v>
      </c>
    </row>
    <row r="22" spans="1:9" ht="15">
      <c r="A22" s="1" t="s">
        <v>25</v>
      </c>
      <c r="B22" s="5">
        <v>60.05733333333333</v>
      </c>
      <c r="C22" s="5">
        <v>64.838</v>
      </c>
      <c r="D22" s="5">
        <v>61.027333333333345</v>
      </c>
      <c r="E22" s="9">
        <f t="shared" si="0"/>
        <v>185.92266666666666</v>
      </c>
      <c r="F22" s="8">
        <f t="shared" si="1"/>
        <v>61.97422222222222</v>
      </c>
      <c r="I22" s="7" t="s">
        <v>102</v>
      </c>
    </row>
    <row r="23" spans="1:13" ht="15">
      <c r="A23" s="1" t="s">
        <v>26</v>
      </c>
      <c r="B23" s="5">
        <v>69.596</v>
      </c>
      <c r="C23" s="5">
        <v>70.09733333333332</v>
      </c>
      <c r="D23" s="5">
        <v>70.04333333333334</v>
      </c>
      <c r="E23" s="9">
        <f t="shared" si="0"/>
        <v>209.73666666666668</v>
      </c>
      <c r="F23" s="8">
        <f t="shared" si="1"/>
        <v>69.91222222222223</v>
      </c>
      <c r="H23" s="7" t="s">
        <v>46</v>
      </c>
      <c r="I23" s="2" t="s">
        <v>55</v>
      </c>
      <c r="J23" s="2" t="s">
        <v>56</v>
      </c>
      <c r="K23" s="2" t="s">
        <v>57</v>
      </c>
      <c r="L23" s="7" t="s">
        <v>4</v>
      </c>
      <c r="M23" s="7" t="s">
        <v>5</v>
      </c>
    </row>
    <row r="24" spans="1:13" ht="15">
      <c r="A24" s="1" t="s">
        <v>27</v>
      </c>
      <c r="B24" s="5">
        <v>74.08933333333333</v>
      </c>
      <c r="C24" s="5">
        <v>61.45333333333333</v>
      </c>
      <c r="D24" s="5">
        <v>55.223333333333336</v>
      </c>
      <c r="E24" s="9">
        <f t="shared" si="0"/>
        <v>190.766</v>
      </c>
      <c r="F24" s="8">
        <f t="shared" si="1"/>
        <v>63.58866666666666</v>
      </c>
      <c r="H24" s="7" t="s">
        <v>36</v>
      </c>
      <c r="I24" s="8">
        <f>E3</f>
        <v>125.43466666666667</v>
      </c>
      <c r="J24" s="8">
        <f>E4</f>
        <v>151.92733333333334</v>
      </c>
      <c r="K24" s="8">
        <f>E5</f>
        <v>161.172</v>
      </c>
      <c r="L24" s="8">
        <f aca="true" t="shared" si="5" ref="L24:L33">SUM(I24:K24)</f>
        <v>438.534</v>
      </c>
      <c r="M24" s="14">
        <f aca="true" t="shared" si="6" ref="M24:M33">L24/9</f>
        <v>48.726</v>
      </c>
    </row>
    <row r="25" spans="1:13" ht="15">
      <c r="A25" s="1" t="s">
        <v>28</v>
      </c>
      <c r="B25" s="5">
        <v>77.12733333333333</v>
      </c>
      <c r="C25" s="5">
        <v>72.658</v>
      </c>
      <c r="D25" s="5">
        <v>73.092</v>
      </c>
      <c r="E25" s="9">
        <f t="shared" si="0"/>
        <v>222.8773333333333</v>
      </c>
      <c r="F25" s="8">
        <f t="shared" si="1"/>
        <v>74.29244444444443</v>
      </c>
      <c r="H25" s="7" t="s">
        <v>37</v>
      </c>
      <c r="I25" s="8">
        <f>E6</f>
        <v>147.41266666666667</v>
      </c>
      <c r="J25" s="8">
        <f>E7</f>
        <v>175.506</v>
      </c>
      <c r="K25" s="8">
        <f>E8</f>
        <v>188.5726666666667</v>
      </c>
      <c r="L25" s="8">
        <f t="shared" si="5"/>
        <v>511.4913333333334</v>
      </c>
      <c r="M25" s="14">
        <f t="shared" si="6"/>
        <v>56.83237037037038</v>
      </c>
    </row>
    <row r="26" spans="1:13" ht="15">
      <c r="A26" s="1" t="s">
        <v>29</v>
      </c>
      <c r="B26" s="5">
        <v>79.18533333333333</v>
      </c>
      <c r="C26" s="5">
        <v>82.458</v>
      </c>
      <c r="D26" s="5">
        <v>78.64533333333334</v>
      </c>
      <c r="E26" s="9">
        <f t="shared" si="0"/>
        <v>240.28866666666664</v>
      </c>
      <c r="F26" s="8">
        <f t="shared" si="1"/>
        <v>80.09622222222221</v>
      </c>
      <c r="H26" s="7" t="s">
        <v>38</v>
      </c>
      <c r="I26" s="8">
        <f>E9</f>
        <v>175.85533333333333</v>
      </c>
      <c r="J26" s="8">
        <f>E10</f>
        <v>196.272</v>
      </c>
      <c r="K26" s="8">
        <f>E11</f>
        <v>205.94133333333332</v>
      </c>
      <c r="L26" s="8">
        <f t="shared" si="5"/>
        <v>578.0686666666667</v>
      </c>
      <c r="M26" s="14">
        <f t="shared" si="6"/>
        <v>64.22985185185185</v>
      </c>
    </row>
    <row r="27" spans="1:13" ht="15">
      <c r="A27" s="1" t="s">
        <v>30</v>
      </c>
      <c r="B27" s="5">
        <v>67.816</v>
      </c>
      <c r="C27" s="5">
        <v>61.46733333333333</v>
      </c>
      <c r="D27" s="5">
        <v>68.57066666666667</v>
      </c>
      <c r="E27" s="9">
        <f t="shared" si="0"/>
        <v>197.85399999999998</v>
      </c>
      <c r="F27" s="8">
        <f t="shared" si="1"/>
        <v>65.95133333333332</v>
      </c>
      <c r="H27" s="7" t="s">
        <v>39</v>
      </c>
      <c r="I27" s="8">
        <f>E12</f>
        <v>185.15066666666667</v>
      </c>
      <c r="J27" s="8">
        <f>E13</f>
        <v>206.64533333333335</v>
      </c>
      <c r="K27" s="8">
        <f>E14</f>
        <v>217.88266666666667</v>
      </c>
      <c r="L27" s="8">
        <f t="shared" si="5"/>
        <v>609.6786666666667</v>
      </c>
      <c r="M27" s="14">
        <f t="shared" si="6"/>
        <v>67.74207407407408</v>
      </c>
    </row>
    <row r="28" spans="1:13" ht="15">
      <c r="A28" s="1" t="s">
        <v>31</v>
      </c>
      <c r="B28" s="5">
        <v>79.674</v>
      </c>
      <c r="C28" s="5">
        <v>75.15466666666667</v>
      </c>
      <c r="D28" s="5">
        <v>68.08066666666666</v>
      </c>
      <c r="E28" s="9">
        <f t="shared" si="0"/>
        <v>222.90933333333334</v>
      </c>
      <c r="F28" s="8">
        <f t="shared" si="1"/>
        <v>74.30311111111111</v>
      </c>
      <c r="H28" s="7" t="s">
        <v>40</v>
      </c>
      <c r="I28" s="8">
        <f>E15</f>
        <v>154.392</v>
      </c>
      <c r="J28" s="8">
        <f>E16</f>
        <v>186.56866666666664</v>
      </c>
      <c r="K28" s="8">
        <f>E17</f>
        <v>178.99</v>
      </c>
      <c r="L28" s="8">
        <f t="shared" si="5"/>
        <v>519.9506666666666</v>
      </c>
      <c r="M28" s="14">
        <f t="shared" si="6"/>
        <v>57.77229629629629</v>
      </c>
    </row>
    <row r="29" spans="1:13" ht="15">
      <c r="A29" s="1" t="s">
        <v>32</v>
      </c>
      <c r="B29" s="5">
        <v>80.42533333333334</v>
      </c>
      <c r="C29" s="5">
        <v>80.316</v>
      </c>
      <c r="D29" s="5">
        <v>81.60466666666666</v>
      </c>
      <c r="E29" s="9">
        <f t="shared" si="0"/>
        <v>242.346</v>
      </c>
      <c r="F29" s="8">
        <f t="shared" si="1"/>
        <v>80.782</v>
      </c>
      <c r="H29" s="7" t="s">
        <v>41</v>
      </c>
      <c r="I29" s="8">
        <f>E18</f>
        <v>144.31666666666666</v>
      </c>
      <c r="J29" s="8">
        <f>E19</f>
        <v>172.05066666666664</v>
      </c>
      <c r="K29" s="8">
        <f>E20</f>
        <v>171.59333333333333</v>
      </c>
      <c r="L29" s="8">
        <f t="shared" si="5"/>
        <v>487.9606666666666</v>
      </c>
      <c r="M29" s="14">
        <f t="shared" si="6"/>
        <v>54.21785185185185</v>
      </c>
    </row>
    <row r="30" spans="1:13" ht="15">
      <c r="A30" s="1" t="s">
        <v>33</v>
      </c>
      <c r="B30" s="5">
        <v>51.98866666666667</v>
      </c>
      <c r="C30" s="5">
        <v>56.73266666666667</v>
      </c>
      <c r="D30" s="5">
        <v>52.812</v>
      </c>
      <c r="E30" s="9">
        <f t="shared" si="0"/>
        <v>161.53333333333333</v>
      </c>
      <c r="F30" s="8">
        <f t="shared" si="1"/>
        <v>53.84444444444444</v>
      </c>
      <c r="H30" s="7" t="s">
        <v>42</v>
      </c>
      <c r="I30" s="8">
        <f>E21</f>
        <v>166.29</v>
      </c>
      <c r="J30" s="8">
        <f>E22</f>
        <v>185.92266666666666</v>
      </c>
      <c r="K30" s="8">
        <f>E23</f>
        <v>209.73666666666668</v>
      </c>
      <c r="L30" s="8">
        <f t="shared" si="5"/>
        <v>561.9493333333334</v>
      </c>
      <c r="M30" s="14">
        <f t="shared" si="6"/>
        <v>62.43881481481482</v>
      </c>
    </row>
    <row r="31" spans="1:13" ht="15">
      <c r="A31" s="1" t="s">
        <v>34</v>
      </c>
      <c r="B31" s="5">
        <v>68.64866666666666</v>
      </c>
      <c r="C31" s="5">
        <v>64.76866666666666</v>
      </c>
      <c r="D31" s="5">
        <v>66.00933333333333</v>
      </c>
      <c r="E31" s="9">
        <f t="shared" si="0"/>
        <v>199.42666666666665</v>
      </c>
      <c r="F31" s="8">
        <f t="shared" si="1"/>
        <v>66.47555555555554</v>
      </c>
      <c r="H31" s="7" t="s">
        <v>43</v>
      </c>
      <c r="I31" s="8">
        <f>E24</f>
        <v>190.766</v>
      </c>
      <c r="J31" s="8">
        <f>E25</f>
        <v>222.8773333333333</v>
      </c>
      <c r="K31" s="8">
        <f>E26</f>
        <v>240.28866666666664</v>
      </c>
      <c r="L31" s="8">
        <f t="shared" si="5"/>
        <v>653.932</v>
      </c>
      <c r="M31" s="14">
        <f t="shared" si="6"/>
        <v>72.65911111111112</v>
      </c>
    </row>
    <row r="32" spans="1:13" ht="15">
      <c r="A32" s="1" t="s">
        <v>35</v>
      </c>
      <c r="B32" s="5">
        <v>68.28933333333333</v>
      </c>
      <c r="C32" s="5">
        <v>70.06066666666666</v>
      </c>
      <c r="D32" s="5">
        <v>67.74066666666667</v>
      </c>
      <c r="E32" s="9">
        <f t="shared" si="0"/>
        <v>206.09066666666666</v>
      </c>
      <c r="F32" s="8">
        <f t="shared" si="1"/>
        <v>68.69688888888889</v>
      </c>
      <c r="H32" s="7" t="s">
        <v>44</v>
      </c>
      <c r="I32" s="8">
        <f>E27</f>
        <v>197.85399999999998</v>
      </c>
      <c r="J32" s="8">
        <f>E28</f>
        <v>222.90933333333334</v>
      </c>
      <c r="K32" s="8">
        <f>E29</f>
        <v>242.346</v>
      </c>
      <c r="L32" s="8">
        <f t="shared" si="5"/>
        <v>663.1093333333333</v>
      </c>
      <c r="M32" s="14">
        <f t="shared" si="6"/>
        <v>73.67881481481481</v>
      </c>
    </row>
    <row r="33" spans="1:13" ht="12.75">
      <c r="A33" s="2" t="s">
        <v>4</v>
      </c>
      <c r="B33" s="9">
        <f>SUM(B3:B32)</f>
        <v>1869.960666666667</v>
      </c>
      <c r="C33" s="9">
        <f>SUM(C3:C32)</f>
        <v>1888.5273333333337</v>
      </c>
      <c r="D33" s="9">
        <f>SUM(D3:D32)</f>
        <v>1833.2373333333335</v>
      </c>
      <c r="E33" s="9">
        <f>SUM(B3:D32)</f>
        <v>5591.725333333332</v>
      </c>
      <c r="F33" s="9">
        <f>AVERAGE(B3:D32)</f>
        <v>62.13028148148147</v>
      </c>
      <c r="H33" s="7" t="s">
        <v>45</v>
      </c>
      <c r="I33" s="8">
        <f>E30</f>
        <v>161.53333333333333</v>
      </c>
      <c r="J33" s="8">
        <f>E31</f>
        <v>199.42666666666665</v>
      </c>
      <c r="K33" s="8">
        <f>E32</f>
        <v>206.09066666666666</v>
      </c>
      <c r="L33" s="8">
        <f t="shared" si="5"/>
        <v>567.0506666666666</v>
      </c>
      <c r="M33" s="14">
        <f t="shared" si="6"/>
        <v>63.005629629629624</v>
      </c>
    </row>
    <row r="34" spans="8:11" ht="12.75">
      <c r="H34" s="7" t="s">
        <v>4</v>
      </c>
      <c r="I34" s="9">
        <f>SUM(I24:I33)</f>
        <v>1649.0053333333333</v>
      </c>
      <c r="J34" s="9">
        <f>SUM(J24:J33)</f>
        <v>1920.106</v>
      </c>
      <c r="K34" s="9">
        <f>SUM(K24:K33)</f>
        <v>2022.614</v>
      </c>
    </row>
    <row r="35" spans="1:11" ht="12.75">
      <c r="A35" s="17" t="s">
        <v>119</v>
      </c>
      <c r="B35" s="8">
        <f>F33</f>
        <v>62.13028148148147</v>
      </c>
      <c r="D35" s="7" t="s">
        <v>62</v>
      </c>
      <c r="E35" s="7" t="s">
        <v>118</v>
      </c>
      <c r="H35" s="7" t="s">
        <v>5</v>
      </c>
      <c r="I35" s="8">
        <f>I34/30</f>
        <v>54.96684444444444</v>
      </c>
      <c r="J35" s="8">
        <f>J34/30</f>
        <v>64.00353333333334</v>
      </c>
      <c r="K35" s="8">
        <f>K34/30</f>
        <v>67.42046666666667</v>
      </c>
    </row>
    <row r="36" spans="1:13" ht="12.75">
      <c r="A36" t="s">
        <v>96</v>
      </c>
      <c r="B36" s="10">
        <f>(E33*E33)/90</f>
        <v>347415.4689271307</v>
      </c>
      <c r="C36" s="7" t="s">
        <v>117</v>
      </c>
      <c r="D36">
        <f>FINV(0.05,B53,B57)</f>
        <v>3.5545571457137326</v>
      </c>
      <c r="E36">
        <f>TINV(0.05,18)</f>
        <v>2.1009220368611805</v>
      </c>
      <c r="K36" t="s">
        <v>95</v>
      </c>
      <c r="M36">
        <f>SUMSQ(I24:K33)/3-B36</f>
        <v>7808.810375091503</v>
      </c>
    </row>
    <row r="37" spans="1:9" ht="12.75">
      <c r="A37" t="s">
        <v>97</v>
      </c>
      <c r="B37" s="8">
        <f>SUMSQ(B3:D32)-B36</f>
        <v>9100.329125313787</v>
      </c>
      <c r="C37" s="4" t="s">
        <v>64</v>
      </c>
      <c r="D37">
        <f>FINV(0.05,B54,B57)</f>
        <v>4.41387340496893</v>
      </c>
      <c r="E37">
        <f>TINV(0.05,18)</f>
        <v>2.1009220368611805</v>
      </c>
      <c r="I37" s="7" t="s">
        <v>103</v>
      </c>
    </row>
    <row r="38" spans="1:13" ht="12.75">
      <c r="A38" t="s">
        <v>107</v>
      </c>
      <c r="B38">
        <f>SUMSQ(B33:D33)/30-B36</f>
        <v>52.781204691622406</v>
      </c>
      <c r="C38" s="4" t="s">
        <v>65</v>
      </c>
      <c r="D38">
        <f>FINV(0.05,B55,B57)</f>
        <v>2.92774417288149</v>
      </c>
      <c r="E38">
        <f>TINV(0.05,18)</f>
        <v>2.1009220368611805</v>
      </c>
      <c r="H38" s="11" t="s">
        <v>46</v>
      </c>
      <c r="I38" s="2" t="s">
        <v>55</v>
      </c>
      <c r="J38" s="2" t="s">
        <v>56</v>
      </c>
      <c r="K38" s="2" t="s">
        <v>57</v>
      </c>
      <c r="L38" s="2" t="s">
        <v>4</v>
      </c>
      <c r="M38" s="11" t="s">
        <v>5</v>
      </c>
    </row>
    <row r="39" spans="1:13" ht="12.75">
      <c r="A39" t="s">
        <v>108</v>
      </c>
      <c r="B39">
        <f>SUMSQ(N17:N18)/45-B36</f>
        <v>848.1100183903472</v>
      </c>
      <c r="C39" s="4" t="s">
        <v>66</v>
      </c>
      <c r="D39">
        <f>FINV(0.05,B56,B57)</f>
        <v>2.92774417288149</v>
      </c>
      <c r="E39">
        <f>TINV(0.05,18)</f>
        <v>2.1009220368611805</v>
      </c>
      <c r="H39" s="11" t="s">
        <v>52</v>
      </c>
      <c r="I39" s="8">
        <f>E3+E6+E9+E12+E15</f>
        <v>788.2453333333333</v>
      </c>
      <c r="J39" s="8">
        <f>E4+E7+E10+E13+E16</f>
        <v>916.9193333333334</v>
      </c>
      <c r="K39" s="8">
        <f>E5+E8+E11+E14+E17</f>
        <v>952.5586666666667</v>
      </c>
      <c r="L39" s="9">
        <f>SUM(I39:K39)</f>
        <v>2657.7233333333334</v>
      </c>
      <c r="M39">
        <f>L39/45</f>
        <v>59.06051851851852</v>
      </c>
    </row>
    <row r="40" spans="1:13" ht="12.75">
      <c r="A40" t="s">
        <v>109</v>
      </c>
      <c r="B40">
        <f>SUMSQ(I19:M19)/18-B36</f>
        <v>4254.201433708833</v>
      </c>
      <c r="C40" s="4"/>
      <c r="H40" s="11" t="s">
        <v>53</v>
      </c>
      <c r="I40" s="8">
        <f>E18+E21+E24+E27+E30</f>
        <v>860.76</v>
      </c>
      <c r="J40" s="8">
        <f>E19+E22+E25+E28+E31</f>
        <v>1003.1866666666666</v>
      </c>
      <c r="K40" s="8">
        <f>E20+E23+E26+E29+E32</f>
        <v>1070.0553333333335</v>
      </c>
      <c r="L40" s="9">
        <f>SUM(I40:K40)</f>
        <v>2934.0020000000004</v>
      </c>
      <c r="M40">
        <f>L40/45</f>
        <v>65.20004444444446</v>
      </c>
    </row>
    <row r="41" spans="1:12" ht="12.75">
      <c r="A41" t="s">
        <v>110</v>
      </c>
      <c r="B41" s="8">
        <f>N21-B39-B40</f>
        <v>30.639794202288613</v>
      </c>
      <c r="C41" s="4" t="s">
        <v>67</v>
      </c>
      <c r="D41">
        <f>FINV(0.05,B58,B62)</f>
        <v>3.231726992881006</v>
      </c>
      <c r="E41">
        <f>TINV(0.05,40)</f>
        <v>2.0210753698504513</v>
      </c>
      <c r="H41" s="11" t="s">
        <v>4</v>
      </c>
      <c r="I41" s="9">
        <f>SUM(I39:I40)</f>
        <v>1649.0053333333333</v>
      </c>
      <c r="J41" s="9">
        <f>SUM(J39:J40)</f>
        <v>1920.106</v>
      </c>
      <c r="K41" s="9">
        <f>SUM(K39:K40)</f>
        <v>2022.614</v>
      </c>
      <c r="L41" s="9">
        <f>SUM(L39:L40)</f>
        <v>5591.725333333334</v>
      </c>
    </row>
    <row r="42" spans="1:12" ht="12.75">
      <c r="A42" t="s">
        <v>111</v>
      </c>
      <c r="B42" s="8">
        <f>M14-B38-N21</f>
        <v>296.6446666169213</v>
      </c>
      <c r="C42" s="4" t="s">
        <v>54</v>
      </c>
      <c r="D42">
        <f>FINV(0.05,B59,B62)</f>
        <v>3.231726992881006</v>
      </c>
      <c r="E42">
        <f>TINV(0.05,40)</f>
        <v>2.0210753698504513</v>
      </c>
      <c r="H42" s="11" t="s">
        <v>5</v>
      </c>
      <c r="I42" s="9">
        <f>I41/30</f>
        <v>54.96684444444444</v>
      </c>
      <c r="J42" s="9">
        <f>J41/30</f>
        <v>64.00353333333334</v>
      </c>
      <c r="K42" s="9">
        <f>K41/30</f>
        <v>67.42046666666667</v>
      </c>
      <c r="L42" s="9">
        <f>L41/30</f>
        <v>186.39084444444447</v>
      </c>
    </row>
    <row r="43" spans="1:14" ht="12.75">
      <c r="A43" t="s">
        <v>112</v>
      </c>
      <c r="B43">
        <f>SUMSQ(I41:K41)/30-B36</f>
        <v>2484.2988593285554</v>
      </c>
      <c r="C43" s="4" t="s">
        <v>58</v>
      </c>
      <c r="D43">
        <f>FINV(0.05,B60,B62)</f>
        <v>2.1801704532774933</v>
      </c>
      <c r="E43">
        <f>TINV(0.05,40)</f>
        <v>2.0210753698504513</v>
      </c>
      <c r="M43" s="7" t="s">
        <v>105</v>
      </c>
      <c r="N43" s="13">
        <f>SUMSQ(I39:K40)/15-B36</f>
        <v>3367.8287379952963</v>
      </c>
    </row>
    <row r="44" spans="1:9" ht="12.75">
      <c r="A44" t="s">
        <v>113</v>
      </c>
      <c r="B44" s="8">
        <f>N43-B39-B43</f>
        <v>35.41986027639359</v>
      </c>
      <c r="C44" s="4" t="s">
        <v>68</v>
      </c>
      <c r="D44">
        <f>FINV(0.05,B61,B62)</f>
        <v>2.1801704532774933</v>
      </c>
      <c r="E44">
        <f>TINV(0.05,40)</f>
        <v>2.0210753698504513</v>
      </c>
      <c r="H44" s="11"/>
      <c r="I44" s="7" t="s">
        <v>104</v>
      </c>
    </row>
    <row r="45" spans="1:15" ht="12.75">
      <c r="A45" t="s">
        <v>114</v>
      </c>
      <c r="B45" s="8">
        <f>N51-B40-B43</f>
        <v>92.32854012824828</v>
      </c>
      <c r="C45" s="4"/>
      <c r="H45" s="11" t="s">
        <v>46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51</v>
      </c>
      <c r="N45" s="11" t="s">
        <v>4</v>
      </c>
      <c r="O45" s="15" t="s">
        <v>5</v>
      </c>
    </row>
    <row r="46" spans="1:15" ht="12.75">
      <c r="A46" t="s">
        <v>115</v>
      </c>
      <c r="B46" s="10">
        <f>M36-B39-B40-B43</f>
        <v>222.20006366376765</v>
      </c>
      <c r="C46" s="4" t="s">
        <v>120</v>
      </c>
      <c r="D46">
        <f>SQRT(2)</f>
        <v>1.4142135623730951</v>
      </c>
      <c r="H46" s="11" t="s">
        <v>55</v>
      </c>
      <c r="I46" s="8">
        <f>E3+E18</f>
        <v>269.7513333333333</v>
      </c>
      <c r="J46" s="8">
        <f>E6+E21</f>
        <v>313.7026666666667</v>
      </c>
      <c r="K46" s="8">
        <f>E9+E24</f>
        <v>366.6213333333333</v>
      </c>
      <c r="L46" s="8">
        <f>E12+E27</f>
        <v>383.00466666666665</v>
      </c>
      <c r="M46" s="8">
        <f>E15+E30</f>
        <v>315.92533333333336</v>
      </c>
      <c r="N46" s="9">
        <f>SUM(I46:M46)</f>
        <v>1649.0053333333333</v>
      </c>
      <c r="O46" s="16">
        <f>N46/30</f>
        <v>54.96684444444444</v>
      </c>
    </row>
    <row r="47" spans="1:15" ht="12.75">
      <c r="A47" t="s">
        <v>116</v>
      </c>
      <c r="B47" s="8">
        <f>B37-B38-B39-B40-B41-B42-B43-B44-B45-B46</f>
        <v>783.7046843068092</v>
      </c>
      <c r="H47" s="11" t="s">
        <v>56</v>
      </c>
      <c r="I47" s="8">
        <f>E4+E19</f>
        <v>323.97799999999995</v>
      </c>
      <c r="J47" s="8">
        <f>E7+E22</f>
        <v>361.4286666666667</v>
      </c>
      <c r="K47" s="8">
        <f>E10+E25</f>
        <v>419.1493333333333</v>
      </c>
      <c r="L47" s="8">
        <f>E13+E28</f>
        <v>429.55466666666666</v>
      </c>
      <c r="M47" s="8">
        <f>E16+E31</f>
        <v>385.9953333333333</v>
      </c>
      <c r="N47" s="9">
        <f>SUM(I47:M47)</f>
        <v>1920.106</v>
      </c>
      <c r="O47" s="16">
        <f>N47/30</f>
        <v>64.00353333333334</v>
      </c>
    </row>
    <row r="48" spans="8:15" ht="12.75">
      <c r="H48" s="11" t="s">
        <v>57</v>
      </c>
      <c r="I48" s="8">
        <f>E5+E20</f>
        <v>332.76533333333333</v>
      </c>
      <c r="J48" s="8">
        <f>E8+E23</f>
        <v>398.30933333333337</v>
      </c>
      <c r="K48" s="8">
        <f>E11+E26</f>
        <v>446.22999999999996</v>
      </c>
      <c r="L48" s="8">
        <f>E14+E29</f>
        <v>460.22866666666664</v>
      </c>
      <c r="M48" s="8">
        <f>E17+E32</f>
        <v>385.0806666666667</v>
      </c>
      <c r="N48" s="9">
        <f>SUM(I48:M48)</f>
        <v>2022.614</v>
      </c>
      <c r="O48" s="16">
        <f>N48/30</f>
        <v>67.42046666666667</v>
      </c>
    </row>
    <row r="49" spans="8:13" ht="12.75">
      <c r="H49" s="11" t="s">
        <v>4</v>
      </c>
      <c r="I49" s="9">
        <f>SUM(I46:I48)</f>
        <v>926.4946666666665</v>
      </c>
      <c r="J49" s="9">
        <f>SUM(J46:J48)</f>
        <v>1073.4406666666669</v>
      </c>
      <c r="K49" s="9">
        <f>SUM(K46:K48)</f>
        <v>1232.0006666666666</v>
      </c>
      <c r="L49" s="9">
        <f>SUM(L46:L48)</f>
        <v>1272.788</v>
      </c>
      <c r="M49" s="9">
        <f>SUM(M46:M48)</f>
        <v>1087.0013333333334</v>
      </c>
    </row>
    <row r="50" spans="8:13" ht="12.75">
      <c r="H50" s="11" t="s">
        <v>5</v>
      </c>
      <c r="I50" s="8">
        <f>I49/18</f>
        <v>51.471925925925916</v>
      </c>
      <c r="J50" s="8">
        <f>J49/18</f>
        <v>59.6355925925926</v>
      </c>
      <c r="K50" s="8">
        <f>K49/18</f>
        <v>68.44448148148147</v>
      </c>
      <c r="L50" s="8">
        <f>L49/18</f>
        <v>70.71044444444445</v>
      </c>
      <c r="M50" s="8">
        <f>M49/18</f>
        <v>60.388962962962964</v>
      </c>
    </row>
    <row r="51" spans="2:14" ht="12.75">
      <c r="B51" s="7"/>
      <c r="C51" s="7" t="s">
        <v>85</v>
      </c>
      <c r="D51" s="7"/>
      <c r="E51" s="7"/>
      <c r="F51" s="7"/>
      <c r="G51" s="7"/>
      <c r="J51" s="7"/>
      <c r="M51" s="7" t="s">
        <v>106</v>
      </c>
      <c r="N51" s="9">
        <f>SUMSQ(I46:M48)/6-B36</f>
        <v>6830.828833165637</v>
      </c>
    </row>
    <row r="52" spans="1:10" ht="12.75">
      <c r="A52" s="4" t="s">
        <v>93</v>
      </c>
      <c r="B52" s="20" t="s">
        <v>86</v>
      </c>
      <c r="C52" s="18" t="s">
        <v>87</v>
      </c>
      <c r="D52" s="18" t="s">
        <v>88</v>
      </c>
      <c r="E52" s="18" t="s">
        <v>61</v>
      </c>
      <c r="F52" s="18" t="s">
        <v>62</v>
      </c>
      <c r="G52" s="18" t="s">
        <v>89</v>
      </c>
      <c r="H52" s="18" t="s">
        <v>90</v>
      </c>
      <c r="I52" s="18" t="s">
        <v>91</v>
      </c>
      <c r="J52" s="18" t="s">
        <v>92</v>
      </c>
    </row>
    <row r="53" spans="1:9" ht="12.75">
      <c r="A53" s="4" t="s">
        <v>63</v>
      </c>
      <c r="B53">
        <f>3-1</f>
        <v>2</v>
      </c>
      <c r="C53">
        <f aca="true" t="shared" si="7" ref="C53:C62">B38</f>
        <v>52.781204691622406</v>
      </c>
      <c r="D53">
        <f aca="true" t="shared" si="8" ref="D53:D62">C53/B53</f>
        <v>26.390602345811203</v>
      </c>
      <c r="E53">
        <f>D53/D57</f>
        <v>1.6013463098530718</v>
      </c>
      <c r="F53">
        <f>D36</f>
        <v>3.5545571457137326</v>
      </c>
      <c r="G53">
        <f>SQRT(D57/30)</f>
        <v>0.7411760757178559</v>
      </c>
      <c r="H53" s="14">
        <f>G53*D46*E36</f>
        <v>2.2021471043694167</v>
      </c>
      <c r="I53" s="19" t="str">
        <f>IF(E53&gt;F53,"S","NS")</f>
        <v>NS</v>
      </c>
    </row>
    <row r="54" spans="1:9" ht="12.75">
      <c r="A54" s="4" t="s">
        <v>64</v>
      </c>
      <c r="B54">
        <f>2-1</f>
        <v>1</v>
      </c>
      <c r="C54">
        <f t="shared" si="7"/>
        <v>848.1100183903472</v>
      </c>
      <c r="D54">
        <f t="shared" si="8"/>
        <v>848.1100183903472</v>
      </c>
      <c r="E54">
        <f>D54/D57</f>
        <v>51.462176971279625</v>
      </c>
      <c r="F54">
        <f>D37</f>
        <v>4.41387340496893</v>
      </c>
      <c r="G54">
        <f>SQRT(D57/45)</f>
        <v>0.6051677316890588</v>
      </c>
      <c r="H54" s="14">
        <f>G54*D46*E37</f>
        <v>1.7980455814175211</v>
      </c>
      <c r="I54" s="19" t="str">
        <f>IF(E54&gt;F54,"S","NS")</f>
        <v>S</v>
      </c>
    </row>
    <row r="55" spans="1:9" ht="12.75">
      <c r="A55" s="4" t="s">
        <v>65</v>
      </c>
      <c r="B55">
        <f>5-1</f>
        <v>4</v>
      </c>
      <c r="C55">
        <f t="shared" si="7"/>
        <v>4254.201433708833</v>
      </c>
      <c r="D55">
        <f t="shared" si="8"/>
        <v>1063.5503584272083</v>
      </c>
      <c r="E55">
        <f>D55/D57</f>
        <v>64.53480748538675</v>
      </c>
      <c r="F55">
        <f>D38</f>
        <v>2.92774417288149</v>
      </c>
      <c r="G55">
        <f>SQRT(D57/18)</f>
        <v>0.9568541992875411</v>
      </c>
      <c r="H55" s="14">
        <f>G55*D46*E38</f>
        <v>2.842959687040546</v>
      </c>
      <c r="I55" s="19" t="str">
        <f>IF(E55&gt;F55,"S","NS")</f>
        <v>S</v>
      </c>
    </row>
    <row r="56" spans="1:9" ht="12.75">
      <c r="A56" s="4" t="s">
        <v>66</v>
      </c>
      <c r="B56">
        <f>(2-1)*(5-1)</f>
        <v>4</v>
      </c>
      <c r="C56">
        <f t="shared" si="7"/>
        <v>30.639794202288613</v>
      </c>
      <c r="D56">
        <f t="shared" si="8"/>
        <v>7.659948550572153</v>
      </c>
      <c r="E56">
        <f>D56/D57</f>
        <v>0.46479539134392045</v>
      </c>
      <c r="F56">
        <f>D39</f>
        <v>2.92774417288149</v>
      </c>
      <c r="G56">
        <f>SQRT(D60/9)</f>
        <v>1.132404890096541</v>
      </c>
      <c r="H56" s="14">
        <f>G56*D46*E39</f>
        <v>3.364547550033378</v>
      </c>
      <c r="I56" s="19" t="str">
        <f>IF(E56&gt;F56,"S","NS")</f>
        <v>NS</v>
      </c>
    </row>
    <row r="57" spans="1:10" ht="12.75">
      <c r="A57" s="4" t="s">
        <v>59</v>
      </c>
      <c r="B57">
        <f>(10-1)*(3-1)</f>
        <v>18</v>
      </c>
      <c r="C57">
        <f t="shared" si="7"/>
        <v>296.6446666169213</v>
      </c>
      <c r="D57">
        <f t="shared" si="8"/>
        <v>16.48025925649563</v>
      </c>
      <c r="I57" s="19"/>
      <c r="J57" s="14">
        <f>SQRT(D57)/B35*100</f>
        <v>6.533993506448649</v>
      </c>
    </row>
    <row r="58" spans="1:9" ht="12.75">
      <c r="A58" s="4" t="s">
        <v>67</v>
      </c>
      <c r="B58">
        <f>3-1</f>
        <v>2</v>
      </c>
      <c r="C58">
        <f t="shared" si="7"/>
        <v>2484.2988593285554</v>
      </c>
      <c r="D58">
        <f t="shared" si="8"/>
        <v>1242.1494296642777</v>
      </c>
      <c r="E58">
        <f>D58/D62</f>
        <v>63.39885186537913</v>
      </c>
      <c r="F58">
        <f>D41</f>
        <v>3.231726992881006</v>
      </c>
      <c r="G58">
        <f>SQRT(D62/30)</f>
        <v>0.8081381298530227</v>
      </c>
      <c r="H58" s="14">
        <f>G58*D46*E41</f>
        <v>2.3098464236790477</v>
      </c>
      <c r="I58" s="19" t="str">
        <f>IF(E58&gt;F58,"S","NS")</f>
        <v>S</v>
      </c>
    </row>
    <row r="59" spans="1:9" ht="12.75">
      <c r="A59" s="4" t="s">
        <v>54</v>
      </c>
      <c r="B59">
        <f>(2-1)*(3-1)</f>
        <v>2</v>
      </c>
      <c r="C59">
        <f t="shared" si="7"/>
        <v>35.41986027639359</v>
      </c>
      <c r="D59">
        <f t="shared" si="8"/>
        <v>17.709930138196796</v>
      </c>
      <c r="E59">
        <f>D59/D62</f>
        <v>0.9039083467447344</v>
      </c>
      <c r="F59">
        <f>D42</f>
        <v>3.231726992881006</v>
      </c>
      <c r="G59">
        <f>SQRT(D62/15)</f>
        <v>1.142879903508974</v>
      </c>
      <c r="H59" s="14">
        <f>G59*D46*E42</f>
        <v>3.2666161393658997</v>
      </c>
      <c r="I59" s="19" t="str">
        <f>IF(E59&gt;F59,"S","NS")</f>
        <v>NS</v>
      </c>
    </row>
    <row r="60" spans="1:9" ht="12.75">
      <c r="A60" s="4" t="s">
        <v>58</v>
      </c>
      <c r="B60">
        <f>(5-1)*(3-1)</f>
        <v>8</v>
      </c>
      <c r="C60">
        <f t="shared" si="7"/>
        <v>92.32854012824828</v>
      </c>
      <c r="D60">
        <f t="shared" si="8"/>
        <v>11.541067516031035</v>
      </c>
      <c r="E60">
        <f>D60/D62</f>
        <v>0.5890518582896652</v>
      </c>
      <c r="F60">
        <f>D43</f>
        <v>2.1801704532774933</v>
      </c>
      <c r="G60">
        <f>SQRT(D62/6)</f>
        <v>1.807051793560911</v>
      </c>
      <c r="H60" s="14">
        <f>G60*D46*E43</f>
        <v>5.164973620931132</v>
      </c>
      <c r="I60" s="19" t="str">
        <f>IF(E60&gt;F60,"S","NS")</f>
        <v>NS</v>
      </c>
    </row>
    <row r="61" spans="1:9" ht="12.75">
      <c r="A61" s="4" t="s">
        <v>68</v>
      </c>
      <c r="B61">
        <f>(2-1)*(5-1)*(3-1)</f>
        <v>8</v>
      </c>
      <c r="C61">
        <f t="shared" si="7"/>
        <v>222.20006366376765</v>
      </c>
      <c r="D61">
        <f t="shared" si="8"/>
        <v>27.775007957970956</v>
      </c>
      <c r="E61">
        <f>D61/D62</f>
        <v>1.4176262316225963</v>
      </c>
      <c r="F61">
        <f>D44</f>
        <v>2.1801704532774933</v>
      </c>
      <c r="G61">
        <f>SQRT(D62/3)</f>
        <v>2.5555571543644664</v>
      </c>
      <c r="H61" s="14">
        <f>G61*D46*E44</f>
        <v>7.304375744020079</v>
      </c>
      <c r="I61" s="19" t="str">
        <f>IF(E61&gt;F61,"S","NS")</f>
        <v>NS</v>
      </c>
    </row>
    <row r="62" spans="1:10" ht="12.75">
      <c r="A62" s="4" t="s">
        <v>60</v>
      </c>
      <c r="B62">
        <f>(10*(3-1))*(3-1)</f>
        <v>40</v>
      </c>
      <c r="C62">
        <f t="shared" si="7"/>
        <v>783.7046843068092</v>
      </c>
      <c r="D62">
        <f t="shared" si="8"/>
        <v>19.59261710767023</v>
      </c>
      <c r="I62" s="8"/>
      <c r="J62" s="14">
        <f>SQRT(D62)/B35*100</f>
        <v>7.124311571523645</v>
      </c>
    </row>
    <row r="63" spans="1:3" ht="12.75">
      <c r="A63" s="4" t="s">
        <v>4</v>
      </c>
      <c r="B63" s="7">
        <f>SUM(B53:B62)</f>
        <v>89</v>
      </c>
      <c r="C63" s="7">
        <f>SUM(C53:C62)</f>
        <v>9100.329125313787</v>
      </c>
    </row>
    <row r="65" ht="12.75">
      <c r="A65" s="4" t="s">
        <v>123</v>
      </c>
    </row>
    <row r="66" ht="12.75">
      <c r="A66" s="4" t="s">
        <v>0</v>
      </c>
    </row>
    <row r="67" spans="1:2" ht="12.75">
      <c r="A67" s="2" t="s">
        <v>52</v>
      </c>
      <c r="B67" s="8">
        <f>O17</f>
        <v>59.06051851851852</v>
      </c>
    </row>
    <row r="68" spans="1:2" ht="12.75">
      <c r="A68" s="2" t="s">
        <v>53</v>
      </c>
      <c r="B68" s="8">
        <f>O18</f>
        <v>65.20004444444444</v>
      </c>
    </row>
    <row r="69" spans="1:2" ht="12.75">
      <c r="A69" s="21" t="s">
        <v>121</v>
      </c>
      <c r="B69" s="22">
        <f>G54</f>
        <v>0.6051677316890588</v>
      </c>
    </row>
    <row r="70" spans="1:2" ht="12.75">
      <c r="A70" s="21" t="s">
        <v>122</v>
      </c>
      <c r="B70" s="22">
        <f>IF(E54&gt;F54,H54,I54)</f>
        <v>1.7980455814175211</v>
      </c>
    </row>
    <row r="71" spans="1:8" ht="12.75">
      <c r="A71" s="2" t="s">
        <v>47</v>
      </c>
      <c r="B71" s="8">
        <f>I50</f>
        <v>51.471925925925916</v>
      </c>
      <c r="G71" s="8"/>
      <c r="H71" s="8"/>
    </row>
    <row r="72" spans="1:2" ht="12.75">
      <c r="A72" s="2" t="s">
        <v>48</v>
      </c>
      <c r="B72" s="8">
        <f>J50</f>
        <v>59.6355925925926</v>
      </c>
    </row>
    <row r="73" spans="1:2" ht="12.75">
      <c r="A73" s="2" t="s">
        <v>49</v>
      </c>
      <c r="B73" s="8">
        <f>K50</f>
        <v>68.44448148148147</v>
      </c>
    </row>
    <row r="74" spans="1:2" ht="12.75">
      <c r="A74" s="2" t="s">
        <v>50</v>
      </c>
      <c r="B74" s="8">
        <f>L50</f>
        <v>70.71044444444445</v>
      </c>
    </row>
    <row r="75" spans="1:2" ht="12.75">
      <c r="A75" s="2" t="s">
        <v>51</v>
      </c>
      <c r="B75" s="8">
        <f>M50</f>
        <v>60.388962962962964</v>
      </c>
    </row>
    <row r="76" spans="1:2" ht="12.75">
      <c r="A76" s="21" t="s">
        <v>121</v>
      </c>
      <c r="B76" s="22">
        <f>G55</f>
        <v>0.9568541992875411</v>
      </c>
    </row>
    <row r="77" spans="1:2" ht="12.75">
      <c r="A77" s="21" t="s">
        <v>122</v>
      </c>
      <c r="B77" s="22">
        <f>IF(E55&gt;F55,H55,I55)</f>
        <v>2.842959687040546</v>
      </c>
    </row>
    <row r="78" ht="12.75">
      <c r="A78" s="2" t="s">
        <v>66</v>
      </c>
    </row>
    <row r="79" spans="1:2" ht="12.75">
      <c r="A79" s="21" t="s">
        <v>121</v>
      </c>
      <c r="B79" s="22">
        <f>G56</f>
        <v>1.132404890096541</v>
      </c>
    </row>
    <row r="80" spans="1:2" ht="12.75">
      <c r="A80" s="21" t="s">
        <v>122</v>
      </c>
      <c r="B80" s="20" t="str">
        <f>IF(E56&gt;F56,H56,I56)</f>
        <v>NS</v>
      </c>
    </row>
    <row r="81" spans="1:2" ht="12.75">
      <c r="A81" s="2" t="s">
        <v>55</v>
      </c>
      <c r="B81" s="8">
        <f>I42</f>
        <v>54.96684444444444</v>
      </c>
    </row>
    <row r="82" spans="1:2" ht="12.75">
      <c r="A82" s="2" t="s">
        <v>56</v>
      </c>
      <c r="B82" s="8">
        <f>J42</f>
        <v>64.00353333333334</v>
      </c>
    </row>
    <row r="83" spans="1:2" ht="12.75">
      <c r="A83" s="2" t="s">
        <v>57</v>
      </c>
      <c r="B83" s="8">
        <f>K42</f>
        <v>67.42046666666667</v>
      </c>
    </row>
    <row r="84" spans="1:2" ht="12.75">
      <c r="A84" s="21" t="s">
        <v>121</v>
      </c>
      <c r="B84" s="22">
        <f>G58</f>
        <v>0.8081381298530227</v>
      </c>
    </row>
    <row r="85" spans="1:2" ht="12.75">
      <c r="A85" s="21" t="s">
        <v>122</v>
      </c>
      <c r="B85" s="22">
        <f>IF(E58&gt;F58,H58,I58)</f>
        <v>2.3098464236790477</v>
      </c>
    </row>
    <row r="86" ht="12.75">
      <c r="A86" s="2" t="s">
        <v>54</v>
      </c>
    </row>
    <row r="87" spans="1:2" ht="12.75">
      <c r="A87" s="21" t="s">
        <v>121</v>
      </c>
      <c r="B87" s="22">
        <f>G59</f>
        <v>1.142879903508974</v>
      </c>
    </row>
    <row r="88" spans="1:2" ht="12.75">
      <c r="A88" s="21" t="s">
        <v>122</v>
      </c>
      <c r="B88" s="20" t="str">
        <f>IF(E59&gt;F59,H59,I59)</f>
        <v>NS</v>
      </c>
    </row>
    <row r="89" ht="12.75">
      <c r="A89" s="2" t="s">
        <v>58</v>
      </c>
    </row>
    <row r="90" spans="1:2" ht="12.75">
      <c r="A90" s="21" t="s">
        <v>121</v>
      </c>
      <c r="B90" s="22">
        <f>G60</f>
        <v>1.807051793560911</v>
      </c>
    </row>
    <row r="91" spans="1:2" ht="12.75">
      <c r="A91" s="21" t="s">
        <v>122</v>
      </c>
      <c r="B91" s="23" t="str">
        <f>IF(E60&gt;F60,H60,I60)</f>
        <v>NS</v>
      </c>
    </row>
    <row r="92" ht="12.75">
      <c r="A92" s="2" t="s">
        <v>68</v>
      </c>
    </row>
    <row r="93" spans="1:2" ht="12.75">
      <c r="A93" s="21" t="s">
        <v>121</v>
      </c>
      <c r="B93" s="22">
        <f>G61</f>
        <v>2.5555571543644664</v>
      </c>
    </row>
    <row r="94" spans="1:2" ht="12.75">
      <c r="A94" s="21" t="s">
        <v>122</v>
      </c>
      <c r="B94" s="23" t="str">
        <f>IF(E61&gt;F61,H61,I61)</f>
        <v>NS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dcterms:created xsi:type="dcterms:W3CDTF">2010-05-27T07:54:06Z</dcterms:created>
  <dcterms:modified xsi:type="dcterms:W3CDTF">2010-11-03T12:49:36Z</dcterms:modified>
  <cp:category/>
  <cp:version/>
  <cp:contentType/>
  <cp:contentStatus/>
</cp:coreProperties>
</file>